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313 ЖКХ\Долговая 2022\"/>
    </mc:Choice>
  </mc:AlternateContent>
  <bookViews>
    <workbookView xWindow="0" yWindow="0" windowWidth="23040" windowHeight="9588"/>
  </bookViews>
  <sheets>
    <sheet name="Лист1" sheetId="1" r:id="rId1"/>
  </sheets>
  <definedNames>
    <definedName name="_xlnm.Print_Titles" localSheetId="0">Лист1!$6:$8</definedName>
    <definedName name="_xlnm.Print_Area" localSheetId="0">Лист1!$A$1:$P$36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  <c r="L28" i="1" l="1"/>
  <c r="G24" i="1" l="1"/>
  <c r="L26" i="1"/>
  <c r="L23" i="1"/>
  <c r="L22" i="1"/>
  <c r="L27" i="1"/>
  <c r="L24" i="1"/>
  <c r="L25" i="1"/>
  <c r="L20" i="1"/>
  <c r="L21" i="1"/>
  <c r="J28" i="1"/>
  <c r="H28" i="1"/>
  <c r="H27" i="1"/>
  <c r="G28" i="1" l="1"/>
  <c r="G27" i="1"/>
  <c r="H23" i="1"/>
  <c r="G23" i="1" s="1"/>
  <c r="G22" i="1"/>
  <c r="H22" i="1"/>
  <c r="G25" i="1"/>
  <c r="N16" i="1" l="1"/>
  <c r="N15" i="1"/>
  <c r="N14" i="1" l="1"/>
  <c r="L14" i="1"/>
  <c r="L16" i="1" l="1"/>
  <c r="L15" i="1"/>
  <c r="L13" i="1"/>
  <c r="J27" i="1" l="1"/>
  <c r="J29" i="1" l="1"/>
  <c r="J23" i="1"/>
  <c r="J25" i="1"/>
  <c r="J22" i="1"/>
  <c r="N19" i="1" l="1"/>
  <c r="L29" i="1" l="1"/>
  <c r="L17" i="1"/>
  <c r="L19" i="1" l="1"/>
  <c r="I27" i="1" l="1"/>
  <c r="I25" i="1"/>
  <c r="I23" i="1"/>
  <c r="I22" i="1"/>
  <c r="J19" i="1"/>
  <c r="I19" i="1" s="1"/>
  <c r="J17" i="1"/>
  <c r="P17" i="1"/>
  <c r="G16" i="1"/>
  <c r="I15" i="1"/>
  <c r="K15" i="1"/>
  <c r="M15" i="1"/>
  <c r="O15" i="1"/>
  <c r="I16" i="1"/>
  <c r="K16" i="1"/>
  <c r="M16" i="1"/>
  <c r="O16" i="1"/>
  <c r="G15" i="1"/>
  <c r="O14" i="1" l="1"/>
  <c r="O17" i="1" s="1"/>
  <c r="M14" i="1"/>
  <c r="K14" i="1"/>
  <c r="K17" i="1" s="1"/>
  <c r="I14" i="1"/>
  <c r="I17" i="1" s="1"/>
  <c r="G14" i="1"/>
  <c r="G17" i="1" s="1"/>
  <c r="H14" i="1"/>
  <c r="H17" i="1" s="1"/>
  <c r="I28" i="1" l="1"/>
  <c r="N28" i="1"/>
  <c r="N27" i="1"/>
  <c r="N26" i="1"/>
  <c r="N25" i="1"/>
  <c r="K23" i="1"/>
  <c r="M23" i="1" s="1"/>
  <c r="K22" i="1"/>
  <c r="M22" i="1" s="1"/>
  <c r="K24" i="1"/>
  <c r="M24" i="1" s="1"/>
  <c r="K21" i="1"/>
  <c r="K20" i="1"/>
  <c r="M20" i="1" s="1"/>
  <c r="N13" i="1"/>
  <c r="N17" i="1" s="1"/>
  <c r="N20" i="1"/>
  <c r="N21" i="1"/>
  <c r="N24" i="1"/>
  <c r="M21" i="1" l="1"/>
  <c r="K28" i="1"/>
  <c r="M28" i="1" s="1"/>
  <c r="K27" i="1"/>
  <c r="M27" i="1" s="1"/>
  <c r="K26" i="1"/>
  <c r="M26" i="1" s="1"/>
  <c r="K25" i="1"/>
  <c r="M25" i="1" s="1"/>
  <c r="N23" i="1"/>
  <c r="N22" i="1"/>
  <c r="K19" i="1"/>
  <c r="M19" i="1" s="1"/>
  <c r="K29" i="1" l="1"/>
  <c r="M29" i="1"/>
  <c r="N29" i="1"/>
  <c r="H29" i="1" l="1"/>
  <c r="I29" i="1"/>
  <c r="G29" i="1"/>
  <c r="M13" i="1" l="1"/>
  <c r="M17" i="1" s="1"/>
  <c r="G33" i="1"/>
  <c r="H33" i="1" l="1"/>
  <c r="K33" i="1"/>
  <c r="L33" i="1"/>
  <c r="M33" i="1"/>
  <c r="N33" i="1"/>
  <c r="I33" i="1"/>
  <c r="J33" i="1"/>
</calcChain>
</file>

<file path=xl/sharedStrings.xml><?xml version="1.0" encoding="utf-8"?>
<sst xmlns="http://schemas.openxmlformats.org/spreadsheetml/2006/main" count="110" uniqueCount="77">
  <si>
    <t>Рег. Код</t>
  </si>
  <si>
    <t>Наименование кредитора</t>
  </si>
  <si>
    <t>Наименование, дата и № документа</t>
  </si>
  <si>
    <t>Сумма договора, валюта</t>
  </si>
  <si>
    <t>Целевое назначение</t>
  </si>
  <si>
    <t>Основной долг</t>
  </si>
  <si>
    <t>Привлечено</t>
  </si>
  <si>
    <t>Погашено</t>
  </si>
  <si>
    <t>Всего</t>
  </si>
  <si>
    <t>В т. ч. с начала года</t>
  </si>
  <si>
    <t>Сумма процентов</t>
  </si>
  <si>
    <t>Начисленные</t>
  </si>
  <si>
    <t>Фактически</t>
  </si>
  <si>
    <t>Выплачено санкций</t>
  </si>
  <si>
    <t>В т.ч. с начала года</t>
  </si>
  <si>
    <t>1.</t>
  </si>
  <si>
    <t>Ценные бумаги</t>
  </si>
  <si>
    <t>Итого ценные бумаги</t>
  </si>
  <si>
    <t>2.</t>
  </si>
  <si>
    <t>Бюджетные кредиты</t>
  </si>
  <si>
    <t>Итого бюджетные кредиты</t>
  </si>
  <si>
    <t>3.</t>
  </si>
  <si>
    <t>Кредиты, полученные от кредитных организаций</t>
  </si>
  <si>
    <t>Итого кредитов, полученных в кредитных организациях</t>
  </si>
  <si>
    <t>4.</t>
  </si>
  <si>
    <t>Муниципальные гарантии</t>
  </si>
  <si>
    <t>Итого муниципальные гарантии</t>
  </si>
  <si>
    <t>ВСЕГО ДОЛГОВЫЕ ОБЯЗАТЕЛЬСТВА</t>
  </si>
  <si>
    <t>(рублей)</t>
  </si>
  <si>
    <t>Долговая книга</t>
  </si>
  <si>
    <t>04</t>
  </si>
  <si>
    <t>Публичное акционерное общество "Сбербанк России"</t>
  </si>
  <si>
    <t>Муниципальный контракт от 07.09.2020 № Ф.2020.272</t>
  </si>
  <si>
    <t>562 283 000 Российский рубль</t>
  </si>
  <si>
    <t>Покрытие дефицита бюджета и (или) погашение долговых обязательств</t>
  </si>
  <si>
    <t>06</t>
  </si>
  <si>
    <t>Муниципальный контракт от 09.12.2020 № Ф.2020.618</t>
  </si>
  <si>
    <t>194 624 000 Российский рубль</t>
  </si>
  <si>
    <t>07</t>
  </si>
  <si>
    <t>Публичное акционерное общество "Московский кредитный банк""</t>
  </si>
  <si>
    <t>Муниципальный контракт от 01.07.2021 № Ф.2021.106</t>
  </si>
  <si>
    <t>105 409 000 Российский рубль</t>
  </si>
  <si>
    <t>Публичное акционерное общество "Банк ВТБ"</t>
  </si>
  <si>
    <t>08</t>
  </si>
  <si>
    <t>Муниципальный контракт от 10.12.2021 № Ф.2021.653</t>
  </si>
  <si>
    <t>158 700 000 Российский рубль</t>
  </si>
  <si>
    <t>09</t>
  </si>
  <si>
    <t>Муниципальный контракт от 10.12.2021 № Ф.2021.654</t>
  </si>
  <si>
    <t>10</t>
  </si>
  <si>
    <t>Муниципальный контракт от 10.12.2021 № Ф.2021.655</t>
  </si>
  <si>
    <t>01</t>
  </si>
  <si>
    <t>Министерство экономики и финансов Московской области</t>
  </si>
  <si>
    <t>Соглашение от 15.12.2021 № 24С-142</t>
  </si>
  <si>
    <t>Погашение долговых обязательств в виде обязательств по муниципальным ценным бумагам и кредитам, полученным от кредитных организаций, иностранных банков и международных финансовых организаций</t>
  </si>
  <si>
    <t>11</t>
  </si>
  <si>
    <t>12</t>
  </si>
  <si>
    <t>13</t>
  </si>
  <si>
    <t>Муниципальный контракт от 10.12.2021 № Ф.2021.656</t>
  </si>
  <si>
    <t>Муниципальный контракт от 10.12.2021 № Ф.2021.657</t>
  </si>
  <si>
    <t>Муниципальный контракт от 10.12.2021 № Ф.2021.658</t>
  </si>
  <si>
    <t>131 500 000 Российский рубль</t>
  </si>
  <si>
    <t>138 475 000 Российский рубль</t>
  </si>
  <si>
    <t>14</t>
  </si>
  <si>
    <t>Муниципальный контракт от 10.12.2021 № Ф.2021.652</t>
  </si>
  <si>
    <t>Начальник Финансового управления                                                                                  Н.Н. Гурьева</t>
  </si>
  <si>
    <t>02</t>
  </si>
  <si>
    <t>Управление Федерального казначейства по Московской области</t>
  </si>
  <si>
    <t>Договор от 22.06.2022 №48-13-16/09-2</t>
  </si>
  <si>
    <t>705 115 000
Российский рубль</t>
  </si>
  <si>
    <t>Приложение №2
к Порядку ведения муниципальной долговой книги городского округа Химки</t>
  </si>
  <si>
    <t>03</t>
  </si>
  <si>
    <t>Соглашение от 12.07.2022 № 24С-71</t>
  </si>
  <si>
    <t>538 285 000 Российский рубль</t>
  </si>
  <si>
    <t>Соглашение от 12.07.2022 № 24С-74</t>
  </si>
  <si>
    <t>57 000 100 Российский рубль</t>
  </si>
  <si>
    <t>Пополнение остатка средств на едином счете бюджета</t>
  </si>
  <si>
    <t>городского округа Химки Московской области по состоянию на 31 декабря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</si>
</sst>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/>
    <xf numFmtId="4" fontId="2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5" fillId="0" borderId="0" xfId="0" applyFont="1"/>
    <xf numFmtId="4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top"/>
    </xf>
    <xf numFmtId="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/>
    <xf numFmtId="4" fontId="0" fillId="0" borderId="0" xfId="0" applyNumberFormat="1"/>
    <xf numFmtId="0" fontId="0" fillId="0" borderId="0" xfId="0" applyFill="1"/>
    <xf numFmtId="0" fontId="5" fillId="0" borderId="0" xfId="0" applyFont="1" applyFill="1"/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6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4" fontId="2" fillId="0" borderId="5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1"/>
  <sheetViews>
    <sheetView tabSelected="1" zoomScale="55" zoomScaleNormal="55" zoomScaleSheetLayoutView="55" workbookViewId="0">
      <pane ySplit="8" topLeftCell="A9" activePane="bottomLeft" state="frozen"/>
      <selection pane="bottomLeft" activeCell="K14" sqref="K14"/>
    </sheetView>
  </sheetViews>
  <sheetFormatPr defaultRowHeight="14.4" x14ac:dyDescent="0.3"/>
  <cols>
    <col min="2" max="2" width="6.21875" customWidth="1"/>
    <col min="3" max="3" width="22" customWidth="1"/>
    <col min="4" max="4" width="17.6640625" customWidth="1"/>
    <col min="5" max="5" width="16.5546875" customWidth="1"/>
    <col min="6" max="6" width="29.44140625" customWidth="1"/>
    <col min="7" max="7" width="22.5546875" customWidth="1"/>
    <col min="8" max="8" width="20.6640625" customWidth="1"/>
    <col min="9" max="10" width="20.77734375" customWidth="1"/>
    <col min="11" max="11" width="19.33203125" customWidth="1"/>
    <col min="12" max="12" width="19.33203125" style="34" customWidth="1"/>
    <col min="13" max="14" width="19.33203125" customWidth="1"/>
    <col min="15" max="15" width="7.77734375" bestFit="1" customWidth="1"/>
    <col min="16" max="16" width="11.5546875" customWidth="1"/>
  </cols>
  <sheetData>
    <row r="1" spans="2:16" x14ac:dyDescent="0.3">
      <c r="N1" s="47" t="s">
        <v>69</v>
      </c>
      <c r="O1" s="47"/>
      <c r="P1" s="47"/>
    </row>
    <row r="2" spans="2:16" ht="23.4" x14ac:dyDescent="0.45">
      <c r="E2" s="11"/>
      <c r="F2" s="11"/>
      <c r="G2" s="11"/>
      <c r="H2" s="48" t="s">
        <v>29</v>
      </c>
      <c r="I2" s="48"/>
      <c r="J2" s="11"/>
      <c r="K2" s="11"/>
      <c r="L2" s="35"/>
      <c r="M2" s="11"/>
      <c r="N2" s="11"/>
    </row>
    <row r="3" spans="2:16" ht="22.8" x14ac:dyDescent="0.4">
      <c r="D3" s="48" t="s">
        <v>76</v>
      </c>
      <c r="E3" s="48"/>
      <c r="F3" s="48"/>
      <c r="G3" s="48"/>
      <c r="H3" s="48"/>
      <c r="I3" s="48"/>
      <c r="J3" s="48"/>
      <c r="K3" s="48"/>
      <c r="L3" s="48"/>
      <c r="M3" s="48"/>
      <c r="N3" s="32"/>
    </row>
    <row r="5" spans="2:16" x14ac:dyDescent="0.3">
      <c r="P5" t="s">
        <v>28</v>
      </c>
    </row>
    <row r="6" spans="2:16" ht="18" x14ac:dyDescent="0.3">
      <c r="B6" s="53" t="s">
        <v>0</v>
      </c>
      <c r="C6" s="49" t="s">
        <v>1</v>
      </c>
      <c r="D6" s="49" t="s">
        <v>2</v>
      </c>
      <c r="E6" s="49" t="s">
        <v>3</v>
      </c>
      <c r="F6" s="49" t="s">
        <v>4</v>
      </c>
      <c r="G6" s="57" t="s">
        <v>5</v>
      </c>
      <c r="H6" s="58"/>
      <c r="I6" s="58"/>
      <c r="J6" s="58"/>
      <c r="K6" s="57" t="s">
        <v>10</v>
      </c>
      <c r="L6" s="58"/>
      <c r="M6" s="58"/>
      <c r="N6" s="58"/>
      <c r="O6" s="49" t="s">
        <v>13</v>
      </c>
      <c r="P6" s="50"/>
    </row>
    <row r="7" spans="2:16" ht="18" x14ac:dyDescent="0.3">
      <c r="B7" s="54"/>
      <c r="C7" s="51"/>
      <c r="D7" s="51"/>
      <c r="E7" s="51"/>
      <c r="F7" s="51"/>
      <c r="G7" s="49" t="s">
        <v>6</v>
      </c>
      <c r="H7" s="59"/>
      <c r="I7" s="49" t="s">
        <v>7</v>
      </c>
      <c r="J7" s="59"/>
      <c r="K7" s="49" t="s">
        <v>11</v>
      </c>
      <c r="L7" s="59"/>
      <c r="M7" s="49" t="s">
        <v>12</v>
      </c>
      <c r="N7" s="59"/>
      <c r="O7" s="51"/>
      <c r="P7" s="52"/>
    </row>
    <row r="8" spans="2:16" ht="46.8" x14ac:dyDescent="0.3">
      <c r="B8" s="55"/>
      <c r="C8" s="56"/>
      <c r="D8" s="56"/>
      <c r="E8" s="56"/>
      <c r="F8" s="56"/>
      <c r="G8" s="25" t="s">
        <v>8</v>
      </c>
      <c r="H8" s="25" t="s">
        <v>9</v>
      </c>
      <c r="I8" s="25" t="s">
        <v>8</v>
      </c>
      <c r="J8" s="25" t="s">
        <v>9</v>
      </c>
      <c r="K8" s="25" t="s">
        <v>8</v>
      </c>
      <c r="L8" s="36" t="s">
        <v>9</v>
      </c>
      <c r="M8" s="25" t="s">
        <v>8</v>
      </c>
      <c r="N8" s="25" t="s">
        <v>9</v>
      </c>
      <c r="O8" s="2" t="s">
        <v>8</v>
      </c>
      <c r="P8" s="18" t="s">
        <v>14</v>
      </c>
    </row>
    <row r="9" spans="2:16" ht="18" x14ac:dyDescent="0.3">
      <c r="B9" s="5" t="s">
        <v>15</v>
      </c>
      <c r="C9" s="62" t="s">
        <v>16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4"/>
    </row>
    <row r="10" spans="2:16" ht="18" x14ac:dyDescent="0.3">
      <c r="B10" s="2"/>
      <c r="C10" s="25"/>
      <c r="D10" s="25"/>
      <c r="E10" s="25"/>
      <c r="F10" s="25"/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36">
        <v>0</v>
      </c>
      <c r="M10" s="25">
        <v>0</v>
      </c>
      <c r="N10" s="25">
        <v>0</v>
      </c>
      <c r="O10" s="10">
        <v>0</v>
      </c>
      <c r="P10" s="5">
        <v>0</v>
      </c>
    </row>
    <row r="11" spans="2:16" ht="17.399999999999999" x14ac:dyDescent="0.3">
      <c r="B11" s="60" t="s">
        <v>17</v>
      </c>
      <c r="C11" s="61"/>
      <c r="D11" s="61"/>
      <c r="E11" s="61"/>
      <c r="F11" s="61"/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37">
        <v>0</v>
      </c>
      <c r="M11" s="26">
        <v>0</v>
      </c>
      <c r="N11" s="26">
        <v>0</v>
      </c>
      <c r="O11" s="7">
        <v>0</v>
      </c>
      <c r="P11" s="7">
        <v>0</v>
      </c>
    </row>
    <row r="12" spans="2:16" ht="18" x14ac:dyDescent="0.35">
      <c r="B12" s="6" t="s">
        <v>18</v>
      </c>
      <c r="C12" s="65" t="s">
        <v>19</v>
      </c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7"/>
    </row>
    <row r="13" spans="2:16" ht="180" x14ac:dyDescent="0.3">
      <c r="B13" s="14" t="s">
        <v>50</v>
      </c>
      <c r="C13" s="27" t="s">
        <v>51</v>
      </c>
      <c r="D13" s="27" t="s">
        <v>52</v>
      </c>
      <c r="E13" s="27" t="s">
        <v>41</v>
      </c>
      <c r="F13" s="27" t="s">
        <v>53</v>
      </c>
      <c r="G13" s="20">
        <v>105409000</v>
      </c>
      <c r="H13" s="20">
        <v>0</v>
      </c>
      <c r="I13" s="20">
        <v>0</v>
      </c>
      <c r="J13" s="20">
        <v>0</v>
      </c>
      <c r="K13" s="20">
        <f>4620.67+L13</f>
        <v>110029.67</v>
      </c>
      <c r="L13" s="38">
        <f>105409</f>
        <v>105409</v>
      </c>
      <c r="M13" s="20">
        <f>K13</f>
        <v>110029.67</v>
      </c>
      <c r="N13" s="20">
        <f>L13</f>
        <v>105409</v>
      </c>
      <c r="O13" s="15">
        <v>0</v>
      </c>
      <c r="P13" s="15">
        <v>0</v>
      </c>
    </row>
    <row r="14" spans="2:16" ht="90" x14ac:dyDescent="0.3">
      <c r="B14" s="14" t="s">
        <v>65</v>
      </c>
      <c r="C14" s="27" t="s">
        <v>66</v>
      </c>
      <c r="D14" s="27" t="s">
        <v>67</v>
      </c>
      <c r="E14" s="27" t="s">
        <v>68</v>
      </c>
      <c r="F14" s="27" t="s">
        <v>75</v>
      </c>
      <c r="G14" s="20">
        <f>H14</f>
        <v>691281000</v>
      </c>
      <c r="H14" s="20">
        <f>100000000+591281000</f>
        <v>691281000</v>
      </c>
      <c r="I14" s="20">
        <f>J14</f>
        <v>691281000</v>
      </c>
      <c r="J14" s="20">
        <v>691281000</v>
      </c>
      <c r="K14" s="20">
        <f>L14</f>
        <v>295201.52</v>
      </c>
      <c r="L14" s="38">
        <f>44109.59+251091.93</f>
        <v>295201.52</v>
      </c>
      <c r="M14" s="20">
        <f>N14</f>
        <v>295201.52</v>
      </c>
      <c r="N14" s="20">
        <f>L14</f>
        <v>295201.52</v>
      </c>
      <c r="O14" s="20">
        <f>P14</f>
        <v>0</v>
      </c>
      <c r="P14" s="20">
        <v>0</v>
      </c>
    </row>
    <row r="15" spans="2:16" ht="180" x14ac:dyDescent="0.3">
      <c r="B15" s="14" t="s">
        <v>70</v>
      </c>
      <c r="C15" s="27" t="s">
        <v>51</v>
      </c>
      <c r="D15" s="27" t="s">
        <v>71</v>
      </c>
      <c r="E15" s="27" t="s">
        <v>72</v>
      </c>
      <c r="F15" s="27" t="s">
        <v>53</v>
      </c>
      <c r="G15" s="20">
        <f>H15</f>
        <v>538285000</v>
      </c>
      <c r="H15" s="20">
        <v>538285000</v>
      </c>
      <c r="I15" s="20">
        <f>J15</f>
        <v>0</v>
      </c>
      <c r="J15" s="20">
        <v>0</v>
      </c>
      <c r="K15" s="20">
        <f t="shared" ref="K15:K16" si="0">L15</f>
        <v>253657.59</v>
      </c>
      <c r="L15" s="38">
        <f>253657.59</f>
        <v>253657.59</v>
      </c>
      <c r="M15" s="20">
        <f t="shared" ref="M15:M16" si="1">N15</f>
        <v>253657.59</v>
      </c>
      <c r="N15" s="20">
        <f>L15</f>
        <v>253657.59</v>
      </c>
      <c r="O15" s="20">
        <f t="shared" ref="O15:O16" si="2">P15</f>
        <v>0</v>
      </c>
      <c r="P15" s="20">
        <v>0</v>
      </c>
    </row>
    <row r="16" spans="2:16" ht="180" x14ac:dyDescent="0.3">
      <c r="B16" s="14" t="s">
        <v>30</v>
      </c>
      <c r="C16" s="27" t="s">
        <v>51</v>
      </c>
      <c r="D16" s="27" t="s">
        <v>73</v>
      </c>
      <c r="E16" s="27" t="s">
        <v>74</v>
      </c>
      <c r="F16" s="27" t="s">
        <v>53</v>
      </c>
      <c r="G16" s="20">
        <f>H16</f>
        <v>57000100</v>
      </c>
      <c r="H16" s="20">
        <v>57000100</v>
      </c>
      <c r="I16" s="20">
        <f t="shared" ref="I16" si="3">J16</f>
        <v>0</v>
      </c>
      <c r="J16" s="20">
        <v>0</v>
      </c>
      <c r="K16" s="20">
        <f t="shared" si="0"/>
        <v>26860.32</v>
      </c>
      <c r="L16" s="38">
        <f>26860.32</f>
        <v>26860.32</v>
      </c>
      <c r="M16" s="20">
        <f t="shared" si="1"/>
        <v>26860.32</v>
      </c>
      <c r="N16" s="20">
        <f>L16</f>
        <v>26860.32</v>
      </c>
      <c r="O16" s="20">
        <f t="shared" si="2"/>
        <v>0</v>
      </c>
      <c r="P16" s="20">
        <v>0</v>
      </c>
    </row>
    <row r="17" spans="2:16" ht="17.399999999999999" x14ac:dyDescent="0.3">
      <c r="B17" s="68" t="s">
        <v>20</v>
      </c>
      <c r="C17" s="68"/>
      <c r="D17" s="68"/>
      <c r="E17" s="68"/>
      <c r="F17" s="68"/>
      <c r="G17" s="28">
        <f>SUM(G13:G16)</f>
        <v>1391975100</v>
      </c>
      <c r="H17" s="28">
        <f t="shared" ref="H17:P17" si="4">SUM(H13:H16)</f>
        <v>1286566100</v>
      </c>
      <c r="I17" s="28">
        <f t="shared" si="4"/>
        <v>691281000</v>
      </c>
      <c r="J17" s="28">
        <f t="shared" si="4"/>
        <v>691281000</v>
      </c>
      <c r="K17" s="28">
        <f>SUM(K13:K16)</f>
        <v>685749.1</v>
      </c>
      <c r="L17" s="39">
        <f>SUM(L13:L16)</f>
        <v>681128.42999999993</v>
      </c>
      <c r="M17" s="28">
        <f>SUM(M13:M16)</f>
        <v>685749.1</v>
      </c>
      <c r="N17" s="28">
        <f>SUM(N13:N16)</f>
        <v>681128.42999999993</v>
      </c>
      <c r="O17" s="28">
        <f t="shared" si="4"/>
        <v>0</v>
      </c>
      <c r="P17" s="28">
        <f t="shared" si="4"/>
        <v>0</v>
      </c>
    </row>
    <row r="18" spans="2:16" ht="18" x14ac:dyDescent="0.35">
      <c r="B18" s="6" t="s">
        <v>21</v>
      </c>
      <c r="C18" s="69" t="s">
        <v>22</v>
      </c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</row>
    <row r="19" spans="2:16" ht="75.599999999999994" customHeight="1" x14ac:dyDescent="0.3">
      <c r="B19" s="16" t="s">
        <v>30</v>
      </c>
      <c r="C19" s="22" t="s">
        <v>31</v>
      </c>
      <c r="D19" s="22" t="s">
        <v>32</v>
      </c>
      <c r="E19" s="23" t="s">
        <v>33</v>
      </c>
      <c r="F19" s="22" t="s">
        <v>34</v>
      </c>
      <c r="G19" s="20">
        <v>562283000</v>
      </c>
      <c r="H19" s="20">
        <v>0</v>
      </c>
      <c r="I19" s="20">
        <f>23998000+J19</f>
        <v>562283000</v>
      </c>
      <c r="J19" s="20">
        <f>538285000</f>
        <v>538285000</v>
      </c>
      <c r="K19" s="20">
        <f>(32826726.79)+L19</f>
        <v>47991584.210000001</v>
      </c>
      <c r="L19" s="38">
        <f>2389805.89+2167887.53+2400161.2+2322736.64+2400161.2+2322736.64+1161368.32</f>
        <v>15164857.420000002</v>
      </c>
      <c r="M19" s="20">
        <f>K19</f>
        <v>47991584.210000001</v>
      </c>
      <c r="N19" s="20">
        <f>L19</f>
        <v>15164857.420000002</v>
      </c>
      <c r="O19" s="15">
        <v>0</v>
      </c>
      <c r="P19" s="15">
        <v>0</v>
      </c>
    </row>
    <row r="20" spans="2:16" ht="72" x14ac:dyDescent="0.3">
      <c r="B20" s="16" t="s">
        <v>35</v>
      </c>
      <c r="C20" s="22" t="s">
        <v>42</v>
      </c>
      <c r="D20" s="22" t="s">
        <v>36</v>
      </c>
      <c r="E20" s="23" t="s">
        <v>37</v>
      </c>
      <c r="F20" s="22" t="s">
        <v>34</v>
      </c>
      <c r="G20" s="20">
        <v>194624000</v>
      </c>
      <c r="H20" s="20">
        <v>0</v>
      </c>
      <c r="I20" s="20">
        <v>0</v>
      </c>
      <c r="J20" s="20">
        <v>0</v>
      </c>
      <c r="K20" s="20">
        <f>(10804024.89)+L20</f>
        <v>21021784.890000001</v>
      </c>
      <c r="L20" s="38">
        <f>867809.75+783828.17+867809.75+839815.89+867809.76+839815.89+867809.75+867809.75+839815.89+867809.76+839815.89+867809.75</f>
        <v>10217760</v>
      </c>
      <c r="M20" s="20">
        <f t="shared" ref="M20:M28" si="5">K20</f>
        <v>21021784.890000001</v>
      </c>
      <c r="N20" s="20">
        <f t="shared" ref="N20:N28" si="6">L20</f>
        <v>10217760</v>
      </c>
      <c r="O20" s="15">
        <v>0</v>
      </c>
      <c r="P20" s="15">
        <v>0</v>
      </c>
    </row>
    <row r="21" spans="2:16" ht="90" x14ac:dyDescent="0.3">
      <c r="B21" s="16" t="s">
        <v>38</v>
      </c>
      <c r="C21" s="22" t="s">
        <v>39</v>
      </c>
      <c r="D21" s="22" t="s">
        <v>40</v>
      </c>
      <c r="E21" s="23" t="s">
        <v>41</v>
      </c>
      <c r="F21" s="22" t="s">
        <v>34</v>
      </c>
      <c r="G21" s="20">
        <v>105409000</v>
      </c>
      <c r="H21" s="20">
        <v>0</v>
      </c>
      <c r="I21" s="20">
        <v>0</v>
      </c>
      <c r="J21" s="20">
        <v>0</v>
      </c>
      <c r="K21" s="20">
        <f>(3153606.25)+L21</f>
        <v>9478146.25</v>
      </c>
      <c r="L21" s="38">
        <f>537152.71+485170.19+537152.71+519825.21+537152.71+519825.21+537152.71+537152.71+519825.21+537152.71+519825.2+537152.72</f>
        <v>6324540</v>
      </c>
      <c r="M21" s="20">
        <f t="shared" si="5"/>
        <v>9478146.25</v>
      </c>
      <c r="N21" s="20">
        <f t="shared" si="6"/>
        <v>6324540</v>
      </c>
      <c r="O21" s="12">
        <v>0</v>
      </c>
      <c r="P21" s="12">
        <v>0</v>
      </c>
    </row>
    <row r="22" spans="2:16" ht="78" customHeight="1" x14ac:dyDescent="0.3">
      <c r="B22" s="16" t="s">
        <v>43</v>
      </c>
      <c r="C22" s="22" t="s">
        <v>31</v>
      </c>
      <c r="D22" s="22" t="s">
        <v>44</v>
      </c>
      <c r="E22" s="23" t="s">
        <v>45</v>
      </c>
      <c r="F22" s="22" t="s">
        <v>34</v>
      </c>
      <c r="G22" s="19">
        <f>158700000+H22</f>
        <v>317400000</v>
      </c>
      <c r="H22" s="46">
        <f>158700000</f>
        <v>158700000</v>
      </c>
      <c r="I22" s="19">
        <f>J22</f>
        <v>158700000</v>
      </c>
      <c r="J22" s="46">
        <f>153000000+5700000</f>
        <v>158700000</v>
      </c>
      <c r="K22" s="19">
        <f>(821761.64)+L22</f>
        <v>10695156.15</v>
      </c>
      <c r="L22" s="40">
        <f>1415256.16+1278295.89+1415256.16+1369602.74+1415256.16+1369602.74+711036.99+50831.51+49191.78+22956.16+776108.22</f>
        <v>9873394.5099999998</v>
      </c>
      <c r="M22" s="20">
        <f t="shared" si="5"/>
        <v>10695156.15</v>
      </c>
      <c r="N22" s="20">
        <f t="shared" si="6"/>
        <v>9873394.5099999998</v>
      </c>
      <c r="O22" s="13">
        <v>0</v>
      </c>
      <c r="P22" s="13">
        <v>0</v>
      </c>
    </row>
    <row r="23" spans="2:16" ht="78" customHeight="1" x14ac:dyDescent="0.3">
      <c r="B23" s="16" t="s">
        <v>46</v>
      </c>
      <c r="C23" s="22" t="s">
        <v>31</v>
      </c>
      <c r="D23" s="22" t="s">
        <v>47</v>
      </c>
      <c r="E23" s="23" t="s">
        <v>45</v>
      </c>
      <c r="F23" s="22" t="s">
        <v>34</v>
      </c>
      <c r="G23" s="19">
        <f>158700000+H23</f>
        <v>317400000</v>
      </c>
      <c r="H23" s="46">
        <f>158700000</f>
        <v>158700000</v>
      </c>
      <c r="I23" s="19">
        <f>J23</f>
        <v>158700000</v>
      </c>
      <c r="J23" s="46">
        <f>153000000+5700000</f>
        <v>158700000</v>
      </c>
      <c r="K23" s="19">
        <f>(821761.64)+L23</f>
        <v>10695156.15</v>
      </c>
      <c r="L23" s="40">
        <f>1415256.16+1278295.89+1415256.16+1369602.74+1415256.16+1369602.74+711036.99+50831.51+49191.78+22956.16+776108.22</f>
        <v>9873394.5099999998</v>
      </c>
      <c r="M23" s="20">
        <f t="shared" si="5"/>
        <v>10695156.15</v>
      </c>
      <c r="N23" s="20">
        <f t="shared" si="6"/>
        <v>9873394.5099999998</v>
      </c>
      <c r="O23" s="13">
        <v>0</v>
      </c>
      <c r="P23" s="13">
        <v>0</v>
      </c>
    </row>
    <row r="24" spans="2:16" ht="78" customHeight="1" x14ac:dyDescent="0.3">
      <c r="B24" s="16" t="s">
        <v>48</v>
      </c>
      <c r="C24" s="22" t="s">
        <v>31</v>
      </c>
      <c r="D24" s="22" t="s">
        <v>49</v>
      </c>
      <c r="E24" s="23" t="s">
        <v>45</v>
      </c>
      <c r="F24" s="22" t="s">
        <v>34</v>
      </c>
      <c r="G24" s="19">
        <f>158700000+H24</f>
        <v>264109000</v>
      </c>
      <c r="H24" s="46">
        <v>105409000</v>
      </c>
      <c r="I24" s="20">
        <v>105409000</v>
      </c>
      <c r="J24" s="44">
        <v>0</v>
      </c>
      <c r="K24" s="20">
        <f>(488207.13)+L24</f>
        <v>6205054.6899999995</v>
      </c>
      <c r="L24" s="38">
        <f>475238.92+429248.05+475238.92+459908.63+475238.92+459908.63+475238.92+475238.92+459908.63+475238.92+459908.63+596531.47</f>
        <v>5716847.5599999996</v>
      </c>
      <c r="M24" s="20">
        <f t="shared" si="5"/>
        <v>6205054.6899999995</v>
      </c>
      <c r="N24" s="20">
        <f t="shared" si="6"/>
        <v>5716847.5599999996</v>
      </c>
      <c r="O24" s="12">
        <v>0</v>
      </c>
      <c r="P24" s="12">
        <v>0</v>
      </c>
    </row>
    <row r="25" spans="2:16" ht="78" customHeight="1" x14ac:dyDescent="0.3">
      <c r="B25" s="16" t="s">
        <v>54</v>
      </c>
      <c r="C25" s="22" t="s">
        <v>31</v>
      </c>
      <c r="D25" s="22" t="s">
        <v>57</v>
      </c>
      <c r="E25" s="23" t="s">
        <v>45</v>
      </c>
      <c r="F25" s="22" t="s">
        <v>34</v>
      </c>
      <c r="G25" s="19">
        <f>158700000+H25</f>
        <v>317400000</v>
      </c>
      <c r="H25" s="46">
        <v>158700000</v>
      </c>
      <c r="I25" s="19">
        <f>J25</f>
        <v>158700000</v>
      </c>
      <c r="J25" s="46">
        <f>153000000+5700000</f>
        <v>158700000</v>
      </c>
      <c r="K25" s="19">
        <f>(182613.7)+L25</f>
        <v>10056008.209999999</v>
      </c>
      <c r="L25" s="40">
        <f>1415256.16+1278295.89+1415256.16+1369602.74+1415256.16+1369602.74+711036.99+50831.51+49191.78+22956.16+776108.22</f>
        <v>9873394.5099999998</v>
      </c>
      <c r="M25" s="20">
        <f t="shared" si="5"/>
        <v>10056008.209999999</v>
      </c>
      <c r="N25" s="20">
        <f t="shared" si="6"/>
        <v>9873394.5099999998</v>
      </c>
      <c r="O25" s="13">
        <v>0</v>
      </c>
      <c r="P25" s="13">
        <v>0</v>
      </c>
    </row>
    <row r="26" spans="2:16" ht="78" customHeight="1" x14ac:dyDescent="0.3">
      <c r="B26" s="16" t="s">
        <v>55</v>
      </c>
      <c r="C26" s="22" t="s">
        <v>31</v>
      </c>
      <c r="D26" s="22" t="s">
        <v>58</v>
      </c>
      <c r="E26" s="23" t="s">
        <v>60</v>
      </c>
      <c r="F26" s="22" t="s">
        <v>34</v>
      </c>
      <c r="G26" s="19">
        <v>131500000</v>
      </c>
      <c r="H26" s="19">
        <v>0</v>
      </c>
      <c r="I26" s="19">
        <v>0</v>
      </c>
      <c r="J26" s="19">
        <v>0</v>
      </c>
      <c r="K26" s="19">
        <f>(151315.07)+L26</f>
        <v>13958815.049999999</v>
      </c>
      <c r="L26" s="40">
        <f>1172691.78+1059205.48+1172691.78+1134863.01+1172691.78+1134863.01+1172691.78+1172691.78+1134863.01+1172691.78+1134863.01+1172691.78</f>
        <v>13807499.979999999</v>
      </c>
      <c r="M26" s="20">
        <f t="shared" si="5"/>
        <v>13958815.049999999</v>
      </c>
      <c r="N26" s="20">
        <f t="shared" si="6"/>
        <v>13807499.979999999</v>
      </c>
      <c r="O26" s="13">
        <v>0</v>
      </c>
      <c r="P26" s="13">
        <v>0</v>
      </c>
    </row>
    <row r="27" spans="2:16" ht="78" customHeight="1" x14ac:dyDescent="0.3">
      <c r="B27" s="16" t="s">
        <v>56</v>
      </c>
      <c r="C27" s="24" t="s">
        <v>31</v>
      </c>
      <c r="D27" s="22" t="s">
        <v>59</v>
      </c>
      <c r="E27" s="23" t="s">
        <v>61</v>
      </c>
      <c r="F27" s="22" t="s">
        <v>34</v>
      </c>
      <c r="G27" s="19">
        <f>138475000+H27</f>
        <v>270756000</v>
      </c>
      <c r="H27" s="46">
        <f>132281000</f>
        <v>132281000</v>
      </c>
      <c r="I27" s="19">
        <f>J27</f>
        <v>132281000</v>
      </c>
      <c r="J27" s="46">
        <f>82281000+30000000+20000000</f>
        <v>132281000</v>
      </c>
      <c r="K27" s="19">
        <f>(159341.1)+L27</f>
        <v>10341942.789999999</v>
      </c>
      <c r="L27" s="40">
        <f>1234893.49+1115387.67+1234893.49+1195058.22+1234893.49+1195058.22+856175.47+501127.32+484961.92+374551.97+53455.07+702145.36</f>
        <v>10182601.689999999</v>
      </c>
      <c r="M27" s="20">
        <f t="shared" si="5"/>
        <v>10341942.789999999</v>
      </c>
      <c r="N27" s="21">
        <f t="shared" si="6"/>
        <v>10182601.689999999</v>
      </c>
      <c r="O27" s="13">
        <v>0</v>
      </c>
      <c r="P27" s="13">
        <v>0</v>
      </c>
    </row>
    <row r="28" spans="2:16" ht="78" customHeight="1" x14ac:dyDescent="0.3">
      <c r="B28" s="16" t="s">
        <v>62</v>
      </c>
      <c r="C28" s="24" t="s">
        <v>31</v>
      </c>
      <c r="D28" s="24" t="s">
        <v>63</v>
      </c>
      <c r="E28" s="23" t="s">
        <v>45</v>
      </c>
      <c r="F28" s="24" t="s">
        <v>34</v>
      </c>
      <c r="G28" s="31">
        <f>158700000+H28</f>
        <v>289700000</v>
      </c>
      <c r="H28" s="45">
        <f>30000000+101000000</f>
        <v>131000000</v>
      </c>
      <c r="I28" s="31">
        <f>J28</f>
        <v>131027091.94000001</v>
      </c>
      <c r="J28" s="45">
        <f>38386613.27+57000100+10000000+10000000+5640378.67+10000000</f>
        <v>131027091.94000001</v>
      </c>
      <c r="K28" s="31">
        <f>(136960.27)+L28</f>
        <v>11174130.009999998</v>
      </c>
      <c r="L28" s="41">
        <f>1415256.16+1278295.89+1415256.16+1369602.74+1205444.41+1038321.01+810575.08+564615.75+546402.34+564615.75+333454.83+509713.19-14383.57</f>
        <v>11037169.739999998</v>
      </c>
      <c r="M28" s="21">
        <f t="shared" si="5"/>
        <v>11174130.009999998</v>
      </c>
      <c r="N28" s="21">
        <f t="shared" si="6"/>
        <v>11037169.739999998</v>
      </c>
      <c r="O28" s="13">
        <v>0</v>
      </c>
      <c r="P28" s="17">
        <v>0</v>
      </c>
    </row>
    <row r="29" spans="2:16" ht="17.399999999999999" x14ac:dyDescent="0.3">
      <c r="B29" s="60" t="s">
        <v>23</v>
      </c>
      <c r="C29" s="61"/>
      <c r="D29" s="61"/>
      <c r="E29" s="61"/>
      <c r="F29" s="61"/>
      <c r="G29" s="29">
        <f t="shared" ref="G29:N29" si="7">G19+G20+G24+G21+G22+G23+G25+G26+G27+G28</f>
        <v>2770581000</v>
      </c>
      <c r="H29" s="29">
        <f t="shared" si="7"/>
        <v>844790000</v>
      </c>
      <c r="I29" s="29">
        <f t="shared" si="7"/>
        <v>1407100091.9400001</v>
      </c>
      <c r="J29" s="29">
        <f>J19+J20+J24+J21+J22+J23+J25+J26+J27+J28</f>
        <v>1277693091.9400001</v>
      </c>
      <c r="K29" s="29">
        <f>K19+K20+K24+K21+K22+K23+K25+K26+K27+K28</f>
        <v>151617778.39999998</v>
      </c>
      <c r="L29" s="42">
        <f>L19+L20+L24+L21+L22+L23+L25+L26+L27+L28</f>
        <v>102071459.91999999</v>
      </c>
      <c r="M29" s="29">
        <f>M19+M20+M24+M21+M22+M23+M25+M26+M27+M28</f>
        <v>151617778.39999998</v>
      </c>
      <c r="N29" s="29">
        <f t="shared" si="7"/>
        <v>102071459.91999999</v>
      </c>
      <c r="O29" s="8">
        <v>0</v>
      </c>
      <c r="P29" s="9">
        <v>0</v>
      </c>
    </row>
    <row r="30" spans="2:16" ht="18" x14ac:dyDescent="0.35">
      <c r="B30" s="6" t="s">
        <v>24</v>
      </c>
      <c r="C30" s="65" t="s">
        <v>25</v>
      </c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</row>
    <row r="31" spans="2:16" ht="18" x14ac:dyDescent="0.35">
      <c r="B31" s="1"/>
      <c r="C31" s="30"/>
      <c r="D31" s="30"/>
      <c r="E31" s="30"/>
      <c r="F31" s="30"/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43">
        <v>0</v>
      </c>
      <c r="M31" s="30">
        <v>0</v>
      </c>
      <c r="N31" s="30">
        <v>0</v>
      </c>
      <c r="O31" s="6">
        <v>0</v>
      </c>
      <c r="P31" s="3">
        <v>0</v>
      </c>
    </row>
    <row r="32" spans="2:16" ht="17.399999999999999" x14ac:dyDescent="0.3">
      <c r="B32" s="60" t="s">
        <v>26</v>
      </c>
      <c r="C32" s="61"/>
      <c r="D32" s="61"/>
      <c r="E32" s="61"/>
      <c r="F32" s="61"/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37">
        <v>0</v>
      </c>
      <c r="M32" s="26">
        <v>0</v>
      </c>
      <c r="N32" s="26">
        <v>0</v>
      </c>
      <c r="O32" s="7">
        <v>0</v>
      </c>
      <c r="P32" s="4">
        <v>0</v>
      </c>
    </row>
    <row r="33" spans="2:16" x14ac:dyDescent="0.3">
      <c r="B33" s="72" t="s">
        <v>27</v>
      </c>
      <c r="C33" s="73"/>
      <c r="D33" s="73"/>
      <c r="E33" s="73"/>
      <c r="F33" s="73"/>
      <c r="G33" s="78">
        <f t="shared" ref="G33:N33" si="8">G11+G17+G29+G32</f>
        <v>4162556100</v>
      </c>
      <c r="H33" s="78">
        <f t="shared" si="8"/>
        <v>2131356100</v>
      </c>
      <c r="I33" s="78">
        <f t="shared" si="8"/>
        <v>2098381091.9400001</v>
      </c>
      <c r="J33" s="78">
        <f t="shared" si="8"/>
        <v>1968974091.9400001</v>
      </c>
      <c r="K33" s="78">
        <f t="shared" si="8"/>
        <v>152303527.49999997</v>
      </c>
      <c r="L33" s="76">
        <f t="shared" si="8"/>
        <v>102752588.34999999</v>
      </c>
      <c r="M33" s="78">
        <f t="shared" si="8"/>
        <v>152303527.49999997</v>
      </c>
      <c r="N33" s="78">
        <f t="shared" si="8"/>
        <v>102752588.34999999</v>
      </c>
      <c r="O33" s="70">
        <v>0</v>
      </c>
      <c r="P33" s="70">
        <v>0</v>
      </c>
    </row>
    <row r="34" spans="2:16" x14ac:dyDescent="0.3">
      <c r="B34" s="74"/>
      <c r="C34" s="75"/>
      <c r="D34" s="75"/>
      <c r="E34" s="75"/>
      <c r="F34" s="75"/>
      <c r="G34" s="79"/>
      <c r="H34" s="79"/>
      <c r="I34" s="79"/>
      <c r="J34" s="79"/>
      <c r="K34" s="79"/>
      <c r="L34" s="77"/>
      <c r="M34" s="79"/>
      <c r="N34" s="79"/>
      <c r="O34" s="71"/>
      <c r="P34" s="71"/>
    </row>
    <row r="35" spans="2:16" ht="17.399999999999999" customHeight="1" x14ac:dyDescent="0.3">
      <c r="B35" s="80" t="s">
        <v>64</v>
      </c>
      <c r="C35" s="80"/>
      <c r="D35" s="80"/>
      <c r="E35" s="80"/>
      <c r="F35" s="80"/>
      <c r="G35" s="80"/>
      <c r="H35" s="80"/>
      <c r="I35" s="80"/>
      <c r="J35" s="80"/>
      <c r="K35" s="80"/>
    </row>
    <row r="36" spans="2:16" ht="46.8" customHeight="1" x14ac:dyDescent="0.3">
      <c r="B36" s="81"/>
      <c r="C36" s="81"/>
      <c r="D36" s="81"/>
      <c r="E36" s="81"/>
      <c r="F36" s="81"/>
      <c r="G36" s="81"/>
      <c r="H36" s="81"/>
      <c r="I36" s="81"/>
      <c r="J36" s="81"/>
      <c r="K36" s="81"/>
    </row>
    <row r="40" spans="2:16" x14ac:dyDescent="0.3">
      <c r="B40" s="82"/>
      <c r="C40" s="82"/>
      <c r="D40" s="82"/>
      <c r="E40" s="82"/>
      <c r="F40" s="82"/>
      <c r="G40" s="82"/>
      <c r="H40" s="82"/>
      <c r="I40" s="82"/>
      <c r="J40" s="33"/>
    </row>
    <row r="41" spans="2:16" x14ac:dyDescent="0.3">
      <c r="B41" s="82"/>
      <c r="C41" s="82"/>
      <c r="D41" s="82"/>
      <c r="E41" s="82"/>
      <c r="F41" s="82"/>
      <c r="G41" s="82"/>
      <c r="H41" s="82"/>
      <c r="I41" s="82"/>
    </row>
  </sheetData>
  <mergeCells count="36">
    <mergeCell ref="B35:K36"/>
    <mergeCell ref="B40:I41"/>
    <mergeCell ref="G33:G34"/>
    <mergeCell ref="H33:H34"/>
    <mergeCell ref="I33:I34"/>
    <mergeCell ref="J33:J34"/>
    <mergeCell ref="K33:K34"/>
    <mergeCell ref="C30:P30"/>
    <mergeCell ref="B29:F29"/>
    <mergeCell ref="O33:O34"/>
    <mergeCell ref="P33:P34"/>
    <mergeCell ref="B32:F32"/>
    <mergeCell ref="B33:F34"/>
    <mergeCell ref="L33:L34"/>
    <mergeCell ref="M33:M34"/>
    <mergeCell ref="N33:N34"/>
    <mergeCell ref="B11:F11"/>
    <mergeCell ref="C9:P9"/>
    <mergeCell ref="C12:P12"/>
    <mergeCell ref="B17:F17"/>
    <mergeCell ref="C18:P18"/>
    <mergeCell ref="N1:P1"/>
    <mergeCell ref="H2:I2"/>
    <mergeCell ref="O6:P7"/>
    <mergeCell ref="B6:B8"/>
    <mergeCell ref="C6:C8"/>
    <mergeCell ref="D6:D8"/>
    <mergeCell ref="E6:E8"/>
    <mergeCell ref="F6:F8"/>
    <mergeCell ref="K6:N6"/>
    <mergeCell ref="K7:L7"/>
    <mergeCell ref="M7:N7"/>
    <mergeCell ref="G6:J6"/>
    <mergeCell ref="G7:H7"/>
    <mergeCell ref="I7:J7"/>
    <mergeCell ref="D3:M3"/>
  </mergeCells>
  <pageMargins left="0" right="0.11811023622047245" top="0.55118110236220474" bottom="7.874015748031496E-2" header="0.11811023622047245" footer="0.19685039370078741"/>
  <pageSetup paperSize="9" scale="51" fitToHeight="0" orientation="landscape" r:id="rId1"/>
  <rowBreaks count="1" manualBreakCount="1">
    <brk id="1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2023-01-18T15:51:54Z</cp:lastPrinted>
  <dcterms:created xsi:type="dcterms:W3CDTF">2021-06-30T08:10:53Z</dcterms:created>
  <dcterms:modified xsi:type="dcterms:W3CDTF">2023-01-23T12:13:25Z</dcterms:modified>
</cp:coreProperties>
</file>